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filterPrivacy="1"/>
  <xr:revisionPtr revIDLastSave="0" documentId="8_{69B24E0B-3EF7-2D45-B24B-A00093564484}" xr6:coauthVersionLast="45" xr6:coauthVersionMax="45" xr10:uidLastSave="{00000000-0000-0000-0000-000000000000}"/>
  <bookViews>
    <workbookView xWindow="0" yWindow="460" windowWidth="25600" windowHeight="14780" xr2:uid="{00000000-000D-0000-FFFF-FFFF00000000}"/>
  </bookViews>
  <sheets>
    <sheet name="Instructions" sheetId="3" r:id="rId1"/>
    <sheet name="LEED Information" sheetId="2" r:id="rId2"/>
    <sheet name="New Construction" sheetId="1" r:id="rId3"/>
  </sheets>
  <definedNames>
    <definedName name="LEED_Rating">'New Construction'!$D$49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M23" i="1"/>
  <c r="AH26" i="1"/>
  <c r="AH27" i="1"/>
  <c r="AH28" i="1"/>
  <c r="AH29" i="1"/>
  <c r="AM25" i="1"/>
  <c r="AH17" i="1"/>
  <c r="AH18" i="1"/>
  <c r="AH19" i="1"/>
  <c r="AH20" i="1"/>
  <c r="AH22" i="1"/>
  <c r="AM24" i="1"/>
  <c r="AH38" i="1"/>
  <c r="AJ39" i="1"/>
  <c r="AJ40" i="1"/>
  <c r="AJ34" i="1"/>
  <c r="AJ35" i="1"/>
  <c r="AJ36" i="1"/>
  <c r="AJ41" i="1"/>
  <c r="AK41" i="1"/>
  <c r="AK43" i="1"/>
  <c r="AK45" i="1"/>
  <c r="AK46" i="1"/>
  <c r="AK47" i="1"/>
  <c r="AH39" i="1"/>
  <c r="AH40" i="1"/>
  <c r="AH44" i="1"/>
  <c r="AH45" i="1"/>
  <c r="AH46" i="1"/>
  <c r="AI35" i="1"/>
  <c r="AI36" i="1"/>
  <c r="AI37" i="1"/>
  <c r="AI38" i="1"/>
  <c r="AI39" i="1"/>
  <c r="AN13" i="1"/>
  <c r="AN20" i="1"/>
  <c r="AH48" i="1"/>
  <c r="D49" i="1"/>
  <c r="AM28" i="1"/>
  <c r="AN29" i="1"/>
  <c r="AM27" i="1"/>
  <c r="AU95" i="1"/>
  <c r="AU94" i="1"/>
  <c r="AU92" i="1"/>
  <c r="AU93" i="1"/>
  <c r="AM26" i="1"/>
  <c r="AM29" i="1"/>
</calcChain>
</file>

<file path=xl/sharedStrings.xml><?xml version="1.0" encoding="utf-8"?>
<sst xmlns="http://schemas.openxmlformats.org/spreadsheetml/2006/main" count="178" uniqueCount="140">
  <si>
    <t>Is the project site previously developed?</t>
  </si>
  <si>
    <t>Is the project located in a priority area? (Ex: Industrial zone, Historic city, etc)</t>
  </si>
  <si>
    <t>Is there sufficient public transport facilities available within 400m from the building?</t>
  </si>
  <si>
    <t>Can the project provide bicycle storage spaces?</t>
  </si>
  <si>
    <t>Can the project provide electric vehicle charging facilities?</t>
  </si>
  <si>
    <t>Is there garden spaces within site accessible to the occupants?</t>
  </si>
  <si>
    <t>Is it possible to harvest rainwater within the site?</t>
  </si>
  <si>
    <t>What type of plumbing fittings will be selected for the building?</t>
  </si>
  <si>
    <t>Will sewer treatment plant (STP) be installed at site?</t>
  </si>
  <si>
    <t>Is there cooling towers at site?</t>
  </si>
  <si>
    <t>What type of air conditioning system will be installed at site?</t>
  </si>
  <si>
    <t>What percentage of building will be air conditioned?</t>
  </si>
  <si>
    <t>What type of light fixtures will be installed at site?</t>
  </si>
  <si>
    <t>What will be the capacity of solar PV system likely to be installed at site?</t>
  </si>
  <si>
    <t>Is fresh air supplied to all the occupied spaces?</t>
  </si>
  <si>
    <t>Are you willing to do an Indoor air quality test for the building?</t>
  </si>
  <si>
    <t>Is it possible to provide task lights to all employees?</t>
  </si>
  <si>
    <t>Yes</t>
  </si>
  <si>
    <t>No</t>
  </si>
  <si>
    <t>Water Efficiency</t>
  </si>
  <si>
    <t>None</t>
  </si>
  <si>
    <t>Energy &amp; Atmosphere</t>
  </si>
  <si>
    <t>Indoor Environmental Quality</t>
  </si>
  <si>
    <t>Location and Transportation</t>
  </si>
  <si>
    <t>Sustainable Sites</t>
  </si>
  <si>
    <t>What type is the project site location?</t>
  </si>
  <si>
    <t>Rural</t>
  </si>
  <si>
    <t>4 to 7</t>
  </si>
  <si>
    <t>8 or more</t>
  </si>
  <si>
    <t>What are the internal site roads completed with?</t>
  </si>
  <si>
    <t>RCC Pavings</t>
  </si>
  <si>
    <t>Aspholt</t>
  </si>
  <si>
    <t>Efficient - Low flow fixtures</t>
  </si>
  <si>
    <t>Usual - High flow fixtures</t>
  </si>
  <si>
    <t>Is it possible to install water meters in the building?</t>
  </si>
  <si>
    <t>It is possible to install a Building Management System (BMS)?</t>
  </si>
  <si>
    <t>&lt;10%</t>
  </si>
  <si>
    <t>10%&lt; and &lt;50%</t>
  </si>
  <si>
    <t>50%&lt; and &lt;80%</t>
  </si>
  <si>
    <t>80%&lt;</t>
  </si>
  <si>
    <t>Simple Split</t>
  </si>
  <si>
    <t>VRF</t>
  </si>
  <si>
    <t>Central HVAC</t>
  </si>
  <si>
    <t>Evaporative Cooling</t>
  </si>
  <si>
    <t>Incandescent</t>
  </si>
  <si>
    <t>T5/T8 Fluorescent</t>
  </si>
  <si>
    <t>LED</t>
  </si>
  <si>
    <t>50 kW&lt; and &lt;100 kW</t>
  </si>
  <si>
    <t>Low efficient</t>
  </si>
  <si>
    <t>High efficient</t>
  </si>
  <si>
    <t>Densely Populated</t>
  </si>
  <si>
    <t>Moderately Populated</t>
  </si>
  <si>
    <t>Is it possible to apply a heat reflective paint on roof?</t>
  </si>
  <si>
    <t>Is it possible to provide cover for parking areas?</t>
  </si>
  <si>
    <t>Yes - Large Garden</t>
  </si>
  <si>
    <t>Yes - Small Garden</t>
  </si>
  <si>
    <t>No Garden Spaces</t>
  </si>
  <si>
    <t>Has a soil test been carried out at site</t>
  </si>
  <si>
    <t>Credits to add</t>
  </si>
  <si>
    <t>Int process</t>
  </si>
  <si>
    <t>Light pollution</t>
  </si>
  <si>
    <t>Outdoor water</t>
  </si>
  <si>
    <t>Innovation</t>
  </si>
  <si>
    <t>commissioning</t>
  </si>
  <si>
    <t>Ref. management</t>
  </si>
  <si>
    <t>&lt;1000 kVA</t>
  </si>
  <si>
    <t>1000 kVA&lt; and &lt;2500 kVA</t>
  </si>
  <si>
    <t>2500 kVA&lt;</t>
  </si>
  <si>
    <t>Regional</t>
  </si>
  <si>
    <t>Life cycle</t>
  </si>
  <si>
    <t>Waste management</t>
  </si>
  <si>
    <t>Building type</t>
  </si>
  <si>
    <t>Office</t>
  </si>
  <si>
    <t>Manufacturing</t>
  </si>
  <si>
    <t>Hotel</t>
  </si>
  <si>
    <t>Apartments</t>
  </si>
  <si>
    <t>Approximate total/gross floor area (sft)</t>
  </si>
  <si>
    <t>kW/sft</t>
  </si>
  <si>
    <t>kW</t>
  </si>
  <si>
    <t>What will be the efficiency of the selected air conditioning system?</t>
  </si>
  <si>
    <t xml:space="preserve">Moderate </t>
  </si>
  <si>
    <t>Highly efficient</t>
  </si>
  <si>
    <t>sft</t>
  </si>
  <si>
    <t>&lt;50,000</t>
  </si>
  <si>
    <t>50,000-100,000</t>
  </si>
  <si>
    <t>100,000-200,000</t>
  </si>
  <si>
    <t>Warehouse</t>
  </si>
  <si>
    <t>200,000-300,000</t>
  </si>
  <si>
    <t>&gt;300,000</t>
  </si>
  <si>
    <t>kWh</t>
  </si>
  <si>
    <t>&lt;50 kW</t>
  </si>
  <si>
    <t>&gt;300 kW</t>
  </si>
  <si>
    <t>100 kW&lt; and &lt;200 kW</t>
  </si>
  <si>
    <t>200 kW&lt; and 300 kW</t>
  </si>
  <si>
    <t>SELF EVALUATION SHEET FOR LEED CERTIFICATION</t>
  </si>
  <si>
    <t>ITEM NO.</t>
  </si>
  <si>
    <t>A</t>
  </si>
  <si>
    <t>B</t>
  </si>
  <si>
    <t>C</t>
  </si>
  <si>
    <t>D</t>
  </si>
  <si>
    <t>E</t>
  </si>
  <si>
    <t>A.1</t>
  </si>
  <si>
    <t>A.2</t>
  </si>
  <si>
    <t>A.3</t>
  </si>
  <si>
    <t>A.4</t>
  </si>
  <si>
    <t>A.5</t>
  </si>
  <si>
    <t>A.6</t>
  </si>
  <si>
    <t>B.1</t>
  </si>
  <si>
    <t>C.1</t>
  </si>
  <si>
    <t>D.1</t>
  </si>
  <si>
    <t>E.1</t>
  </si>
  <si>
    <t>B.2</t>
  </si>
  <si>
    <t>B.3</t>
  </si>
  <si>
    <t>B.4</t>
  </si>
  <si>
    <t>B.5</t>
  </si>
  <si>
    <t>B.6</t>
  </si>
  <si>
    <t>C.2</t>
  </si>
  <si>
    <t>C.3</t>
  </si>
  <si>
    <t>C.4</t>
  </si>
  <si>
    <t>D.2</t>
  </si>
  <si>
    <t>D.3</t>
  </si>
  <si>
    <t>D.4</t>
  </si>
  <si>
    <t>D.5</t>
  </si>
  <si>
    <t>D.6</t>
  </si>
  <si>
    <t>D.7</t>
  </si>
  <si>
    <t>D.8</t>
  </si>
  <si>
    <t>E.2</t>
  </si>
  <si>
    <t>E.3</t>
  </si>
  <si>
    <t>Segment</t>
  </si>
  <si>
    <t>Measure</t>
  </si>
  <si>
    <r>
      <t>Contact us through</t>
    </r>
    <r>
      <rPr>
        <sz val="14"/>
        <color rgb="FFFF0000"/>
        <rFont val="Cambria"/>
        <family val="1"/>
      </rPr>
      <t xml:space="preserve"> djayalath@energysolveint.com</t>
    </r>
    <r>
      <rPr>
        <sz val="14"/>
        <color theme="1"/>
        <rFont val="Cambria"/>
        <family val="1"/>
      </rPr>
      <t xml:space="preserve"> for a detailed analysis of your project</t>
    </r>
  </si>
  <si>
    <t>Your Building is eligible for</t>
  </si>
  <si>
    <t>LT</t>
  </si>
  <si>
    <t>SS</t>
  </si>
  <si>
    <t>WE</t>
  </si>
  <si>
    <t>EA</t>
  </si>
  <si>
    <t>MR</t>
  </si>
  <si>
    <t>IEQ</t>
  </si>
  <si>
    <t>IP</t>
  </si>
  <si>
    <t>Air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</si>
</sst>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theme="0"/>
      <name val="Cambria"/>
      <family val="1"/>
    </font>
    <font>
      <b/>
      <u/>
      <sz val="14"/>
      <color theme="1"/>
      <name val="Cambria"/>
      <family val="1"/>
    </font>
    <font>
      <sz val="14"/>
      <color rgb="FFFF0000"/>
      <name val="Cambria"/>
      <family val="1"/>
    </font>
    <font>
      <b/>
      <sz val="18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Protection="1">
      <protection hidden="1"/>
    </xf>
    <xf numFmtId="43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16" fontId="3" fillId="0" borderId="0" xfId="0" applyNumberFormat="1" applyFont="1" applyProtection="1">
      <protection hidden="1"/>
    </xf>
    <xf numFmtId="164" fontId="3" fillId="0" borderId="0" xfId="1" applyNumberFormat="1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0" xfId="3"/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 applyProtection="1">
      <alignment horizontal="center" vertical="center"/>
      <protection locked="0"/>
    </xf>
    <xf numFmtId="9" fontId="3" fillId="0" borderId="1" xfId="2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Protection="1"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3" fillId="0" borderId="7" xfId="0" applyFont="1" applyBorder="1" applyProtection="1"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/>
      <protection locked="0" hidden="1"/>
    </xf>
    <xf numFmtId="0" fontId="7" fillId="0" borderId="0" xfId="0" applyFont="1" applyBorder="1" applyAlignment="1" applyProtection="1">
      <alignment horizontal="center"/>
      <protection locked="0" hidden="1"/>
    </xf>
    <xf numFmtId="0" fontId="7" fillId="0" borderId="6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Hyperlink" xfId="3" builtinId="8"/>
    <cellStyle name="Normal" xfId="0" builtinId="0"/>
    <cellStyle name="Per cent" xfId="2" builtinId="5"/>
  </cellStyles>
  <dxfs count="4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7</xdr:row>
      <xdr:rowOff>38098</xdr:rowOff>
    </xdr:from>
    <xdr:to>
      <xdr:col>11</xdr:col>
      <xdr:colOff>38100</xdr:colOff>
      <xdr:row>19</xdr:row>
      <xdr:rowOff>12699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id="{5BEB98DD-5EC8-854A-96A3-59A34FF5C264}"/>
            </a:ext>
          </a:extLst>
        </xdr:cNvPr>
        <xdr:cNvSpPr>
          <a:spLocks noGrp="1"/>
        </xdr:cNvSpPr>
      </xdr:nvSpPr>
      <xdr:spPr>
        <a:xfrm>
          <a:off x="889000" y="1371598"/>
          <a:ext cx="8229600" cy="2260601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228600" indent="-22860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4350" indent="-514350">
            <a:buFont typeface="+mj-lt"/>
            <a:buAutoNum type="arabicPeriod"/>
          </a:pPr>
          <a:r>
            <a:rPr lang="en-LK" sz="2000"/>
            <a:t>To begin self-evaluvation building owners are required to fill out the form within the </a:t>
          </a:r>
          <a:r>
            <a:rPr lang="en-LK" sz="2000" i="1">
              <a:solidFill>
                <a:schemeClr val="accent1"/>
              </a:solidFill>
            </a:rPr>
            <a:t>New Construction Sheet</a:t>
          </a:r>
          <a:r>
            <a:rPr lang="en-LK" sz="2000" i="1"/>
            <a:t>.</a:t>
          </a:r>
        </a:p>
        <a:p>
          <a:pPr marL="514350" indent="-514350">
            <a:buFont typeface="+mj-lt"/>
            <a:buAutoNum type="arabicPeriod"/>
          </a:pPr>
          <a:r>
            <a:rPr lang="en-LK" sz="2000"/>
            <a:t>Allocate the appropriate measures by selecting a viable answer from the drop-downs within </a:t>
          </a:r>
          <a:r>
            <a:rPr lang="en-LK" sz="2000" i="1">
              <a:solidFill>
                <a:schemeClr val="accent1"/>
              </a:solidFill>
            </a:rPr>
            <a:t>Measures</a:t>
          </a:r>
          <a:r>
            <a:rPr lang="en-LK" sz="2000"/>
            <a:t>.</a:t>
          </a:r>
        </a:p>
        <a:p>
          <a:pPr marL="514350" indent="-514350">
            <a:buFont typeface="+mj-lt"/>
            <a:buAutoNum type="arabicPeriod"/>
          </a:pPr>
          <a:r>
            <a:rPr lang="en-LK" sz="2000"/>
            <a:t>Upon completion the user will given the rating their facility is elig</a:t>
          </a:r>
          <a:r>
            <a:rPr lang="en-GB" sz="2000"/>
            <a:t>i</a:t>
          </a:r>
          <a:r>
            <a:rPr lang="en-LK" sz="2000"/>
            <a:t>ble</a:t>
          </a:r>
          <a:r>
            <a:rPr lang="en-LK" sz="2000" baseline="0"/>
            <a:t> for</a:t>
          </a:r>
          <a:r>
            <a:rPr lang="en-LK" sz="2000"/>
            <a:t>.</a:t>
          </a:r>
        </a:p>
        <a:p>
          <a:pPr marL="514350" indent="-514350">
            <a:buFont typeface="+mj-lt"/>
            <a:buAutoNum type="arabicPeriod"/>
          </a:pPr>
          <a:endParaRPr lang="en-LK"/>
        </a:p>
      </xdr:txBody>
    </xdr:sp>
    <xdr:clientData/>
  </xdr:twoCellAnchor>
  <xdr:twoCellAnchor>
    <xdr:from>
      <xdr:col>3</xdr:col>
      <xdr:colOff>622300</xdr:colOff>
      <xdr:row>1</xdr:row>
      <xdr:rowOff>101600</xdr:rowOff>
    </xdr:from>
    <xdr:to>
      <xdr:col>8</xdr:col>
      <xdr:colOff>279400</xdr:colOff>
      <xdr:row>5</xdr:row>
      <xdr:rowOff>139700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651B399E-A920-0941-A263-C316C0F70CD8}"/>
            </a:ext>
          </a:extLst>
        </xdr:cNvPr>
        <xdr:cNvSpPr>
          <a:spLocks noGrp="1"/>
        </xdr:cNvSpPr>
      </xdr:nvSpPr>
      <xdr:spPr>
        <a:xfrm>
          <a:off x="3098800" y="292100"/>
          <a:ext cx="3784600" cy="800100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LK" sz="3200" kern="1200">
              <a:solidFill>
                <a:schemeClr val="tx2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Completing the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</xdr:row>
      <xdr:rowOff>12700</xdr:rowOff>
    </xdr:from>
    <xdr:to>
      <xdr:col>9</xdr:col>
      <xdr:colOff>736600</xdr:colOff>
      <xdr:row>5</xdr:row>
      <xdr:rowOff>12700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26D748AE-7A13-0F49-8394-EA83ABA3E296}"/>
            </a:ext>
          </a:extLst>
        </xdr:cNvPr>
        <xdr:cNvSpPr>
          <a:spLocks noGrp="1"/>
        </xdr:cNvSpPr>
      </xdr:nvSpPr>
      <xdr:spPr>
        <a:xfrm>
          <a:off x="2413000" y="203200"/>
          <a:ext cx="5753100" cy="762000"/>
        </a:xfrm>
        <a:prstGeom prst="rect">
          <a:avLst/>
        </a:prstGeom>
        <a:noFill/>
        <a:ln>
          <a:noFill/>
        </a:ln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marL="0" indent="0"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</a:pPr>
          <a:r>
            <a:rPr lang="en-LK" sz="3200" kern="1200">
              <a:solidFill>
                <a:schemeClr val="tx2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LEED</a:t>
          </a:r>
          <a:r>
            <a:rPr lang="en-LK" sz="3200" kern="1200">
              <a:solidFill>
                <a:schemeClr val="tx1"/>
              </a:solidFill>
              <a:latin typeface="+mj-lt"/>
              <a:ea typeface="+mj-ea"/>
              <a:cs typeface="+mj-cs"/>
            </a:rPr>
            <a:t> </a:t>
          </a:r>
          <a:r>
            <a:rPr lang="en-LK" sz="3200" kern="1200">
              <a:solidFill>
                <a:schemeClr val="tx2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Self-Evaluvation</a:t>
          </a:r>
        </a:p>
      </xdr:txBody>
    </xdr:sp>
    <xdr:clientData/>
  </xdr:twoCellAnchor>
  <xdr:twoCellAnchor>
    <xdr:from>
      <xdr:col>1</xdr:col>
      <xdr:colOff>469900</xdr:colOff>
      <xdr:row>5</xdr:row>
      <xdr:rowOff>152400</xdr:rowOff>
    </xdr:from>
    <xdr:to>
      <xdr:col>12</xdr:col>
      <xdr:colOff>533400</xdr:colOff>
      <xdr:row>10</xdr:row>
      <xdr:rowOff>76200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3FE9347A-D000-EA48-B3A8-33073890D9DE}"/>
            </a:ext>
          </a:extLst>
        </xdr:cNvPr>
        <xdr:cNvSpPr>
          <a:spLocks noGrp="1"/>
        </xdr:cNvSpPr>
      </xdr:nvSpPr>
      <xdr:spPr>
        <a:xfrm>
          <a:off x="1295400" y="1104900"/>
          <a:ext cx="9144000" cy="876300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LK" sz="2000"/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11</xdr:col>
      <xdr:colOff>508000</xdr:colOff>
      <xdr:row>19</xdr:row>
      <xdr:rowOff>0</xdr:rowOff>
    </xdr:to>
    <xdr:sp macro="" textlink="">
      <xdr:nvSpPr>
        <xdr:cNvPr id="10" name="Content Placeholder 2">
          <a:extLst>
            <a:ext uri="{FF2B5EF4-FFF2-40B4-BE49-F238E27FC236}">
              <a16:creationId xmlns:a16="http://schemas.microsoft.com/office/drawing/2014/main" id="{CBB817C2-0434-E241-949B-0C2434EFC3ED}"/>
            </a:ext>
          </a:extLst>
        </xdr:cNvPr>
        <xdr:cNvSpPr>
          <a:spLocks noGrp="1"/>
        </xdr:cNvSpPr>
      </xdr:nvSpPr>
      <xdr:spPr>
        <a:xfrm>
          <a:off x="152400" y="762000"/>
          <a:ext cx="9436100" cy="2857500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228600" indent="-22860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LK" sz="2000"/>
            <a:t>A framework designed for builder owners and designers to assess their facilities eligeability for LEED</a:t>
          </a:r>
        </a:p>
        <a:p>
          <a:pPr marL="0" indent="0" algn="ctr">
            <a:buNone/>
          </a:pPr>
          <a:r>
            <a:rPr lang="en-LK" sz="2000"/>
            <a:t>The Self-evaulvation sheet has been designed for building owners to gain an insight into the LEED certification rating system.</a:t>
          </a:r>
        </a:p>
        <a:p>
          <a:pPr marL="0" indent="0" algn="ctr">
            <a:buNone/>
          </a:pPr>
          <a:r>
            <a:rPr lang="en-LK" sz="2000"/>
            <a:t>By selecting the options relevant options available building owners can view the level of certification their facility is eligible for.</a:t>
          </a:r>
        </a:p>
        <a:p>
          <a:pPr marL="0" indent="0" algn="ctr">
            <a:buNone/>
          </a:pPr>
          <a:r>
            <a:rPr lang="en-LK" sz="2000">
              <a:solidFill>
                <a:srgbClr val="FF0000"/>
              </a:solidFill>
            </a:rPr>
            <a:t>Please note this is not a guaranteed score. Variations should be expected during actual implementation.</a:t>
          </a:r>
        </a:p>
      </xdr:txBody>
    </xdr:sp>
    <xdr:clientData/>
  </xdr:twoCellAnchor>
  <xdr:twoCellAnchor>
    <xdr:from>
      <xdr:col>3</xdr:col>
      <xdr:colOff>406400</xdr:colOff>
      <xdr:row>17</xdr:row>
      <xdr:rowOff>101601</xdr:rowOff>
    </xdr:from>
    <xdr:to>
      <xdr:col>8</xdr:col>
      <xdr:colOff>63500</xdr:colOff>
      <xdr:row>21</xdr:row>
      <xdr:rowOff>139701</xdr:rowOff>
    </xdr:to>
    <xdr:sp macro="" textlink="">
      <xdr:nvSpPr>
        <xdr:cNvPr id="11" name="Title 1">
          <a:extLst>
            <a:ext uri="{FF2B5EF4-FFF2-40B4-BE49-F238E27FC236}">
              <a16:creationId xmlns:a16="http://schemas.microsoft.com/office/drawing/2014/main" id="{3AF47FEF-3A20-E848-B961-11E6CD6F2289}"/>
            </a:ext>
          </a:extLst>
        </xdr:cNvPr>
        <xdr:cNvSpPr>
          <a:spLocks noGrp="1"/>
        </xdr:cNvSpPr>
      </xdr:nvSpPr>
      <xdr:spPr>
        <a:xfrm>
          <a:off x="2882900" y="3340101"/>
          <a:ext cx="3784600" cy="800100"/>
        </a:xfrm>
        <a:prstGeom prst="rect">
          <a:avLst/>
        </a:prstGeom>
        <a:noFill/>
        <a:ln>
          <a:noFill/>
        </a:ln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LK" sz="3200" kern="1200">
              <a:solidFill>
                <a:schemeClr val="tx2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Available</a:t>
          </a:r>
          <a:r>
            <a:rPr lang="en-LK" sz="3200"/>
            <a:t> </a:t>
          </a:r>
          <a:r>
            <a:rPr lang="en-LK" sz="3200" kern="1200">
              <a:solidFill>
                <a:schemeClr val="tx2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rPr>
            <a:t>Ratings</a:t>
          </a:r>
        </a:p>
      </xdr:txBody>
    </xdr:sp>
    <xdr:clientData/>
  </xdr:twoCellAnchor>
  <xdr:twoCellAnchor editAs="oneCell">
    <xdr:from>
      <xdr:col>1</xdr:col>
      <xdr:colOff>381000</xdr:colOff>
      <xdr:row>20</xdr:row>
      <xdr:rowOff>12700</xdr:rowOff>
    </xdr:from>
    <xdr:to>
      <xdr:col>10</xdr:col>
      <xdr:colOff>685800</xdr:colOff>
      <xdr:row>35</xdr:row>
      <xdr:rowOff>88900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361E435-0746-D149-ACB1-8C41A95186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21" b="21182"/>
        <a:stretch/>
      </xdr:blipFill>
      <xdr:spPr bwMode="auto">
        <a:xfrm>
          <a:off x="1206500" y="3822700"/>
          <a:ext cx="773430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>
      <selection activeCell="H32" sqref="H32"/>
    </sheetView>
  </sheetViews>
  <sheetFormatPr baseColWidth="10" defaultColWidth="11.5" defaultRowHeight="15" x14ac:dyDescent="0.2"/>
  <sheetData/>
  <sheetProtection algorithmName="SHA-512" hashValue="+DxtYtrxK5+8ujzp4xww6a+aN4U9+2anKjLK+Oy3KRgcUMvpVEKoniBRP58AtzRfaTdvUjXey/iOdVgQtnD1+A==" saltValue="gtfWDMJYZT1fusvXjHMFR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2"/>
  <sheetViews>
    <sheetView showGridLines="0" workbookViewId="0">
      <selection activeCell="Q13" sqref="Q13"/>
    </sheetView>
  </sheetViews>
  <sheetFormatPr baseColWidth="10" defaultColWidth="11.5" defaultRowHeight="15" x14ac:dyDescent="0.2"/>
  <sheetData>
    <row r="12" spans="3:3" x14ac:dyDescent="0.2">
      <c r="C12" s="22"/>
    </row>
  </sheetData>
  <sheetProtection algorithmName="SHA-512" hashValue="tIsBYyWu/dPtrVWc7le0ksVyXpJOafG9FGyPCjGzjsjsmRbdWO/s8YICSEHbT45+6lx8pJ9vfpldhGbEYVVhyg==" saltValue="Kw/QGrZc3pX+0fi7DhBp8w==" spinCount="100000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01"/>
  <sheetViews>
    <sheetView showGridLines="0" zoomScale="85" zoomScaleNormal="85" zoomScaleSheetLayoutView="100" zoomScalePageLayoutView="70" workbookViewId="0">
      <selection activeCell="B49" sqref="B49"/>
    </sheetView>
  </sheetViews>
  <sheetFormatPr baseColWidth="10" defaultColWidth="0" defaultRowHeight="18" x14ac:dyDescent="0.2"/>
  <cols>
    <col min="1" max="1" width="9.1640625" style="1" customWidth="1"/>
    <col min="2" max="2" width="16.6640625" style="1" customWidth="1"/>
    <col min="3" max="3" width="58.1640625" style="18" customWidth="1"/>
    <col min="4" max="4" width="34.6640625" style="8" customWidth="1"/>
    <col min="5" max="5" width="9.1640625" style="1" hidden="1" customWidth="1"/>
    <col min="6" max="32" width="0" style="1" hidden="1" customWidth="1"/>
    <col min="33" max="35" width="9.1640625" style="2" hidden="1" customWidth="1"/>
    <col min="36" max="36" width="16" style="2" hidden="1" customWidth="1"/>
    <col min="37" max="37" width="8.6640625" style="2" hidden="1" customWidth="1"/>
    <col min="38" max="38" width="23.6640625" style="2" hidden="1" customWidth="1"/>
    <col min="39" max="40" width="9.1640625" style="2" hidden="1" customWidth="1"/>
    <col min="41" max="41" width="18" style="2" hidden="1" customWidth="1"/>
    <col min="42" max="42" width="9.1640625" style="2" hidden="1" customWidth="1"/>
    <col min="43" max="43" width="19.33203125" style="2" hidden="1" customWidth="1"/>
    <col min="44" max="46" width="9.1640625" style="2" hidden="1" customWidth="1"/>
    <col min="47" max="47" width="14.5" style="2" hidden="1" customWidth="1"/>
    <col min="48" max="48" width="9.1640625" style="2" hidden="1" customWidth="1"/>
    <col min="49" max="49" width="0" style="2" hidden="1" customWidth="1"/>
    <col min="50" max="50" width="10.83203125" style="1" hidden="1" customWidth="1"/>
    <col min="51" max="51" width="10.83203125" style="1" customWidth="1"/>
    <col min="52" max="16384" width="10.83203125" style="1" hidden="1"/>
  </cols>
  <sheetData>
    <row r="1" spans="2:42" x14ac:dyDescent="0.2">
      <c r="B1" s="34"/>
      <c r="C1" s="35"/>
      <c r="D1" s="36"/>
    </row>
    <row r="2" spans="2:42" ht="23" x14ac:dyDescent="0.25">
      <c r="B2" s="49" t="s">
        <v>94</v>
      </c>
      <c r="C2" s="50"/>
      <c r="D2" s="51"/>
    </row>
    <row r="3" spans="2:42" x14ac:dyDescent="0.2">
      <c r="B3" s="37"/>
      <c r="C3" s="38"/>
      <c r="D3" s="39"/>
    </row>
    <row r="4" spans="2:42" ht="30" customHeight="1" x14ac:dyDescent="0.2">
      <c r="B4" s="40" t="s">
        <v>95</v>
      </c>
      <c r="C4" s="19" t="s">
        <v>128</v>
      </c>
      <c r="D4" s="41" t="s">
        <v>129</v>
      </c>
    </row>
    <row r="5" spans="2:42" x14ac:dyDescent="0.2">
      <c r="B5" s="34"/>
      <c r="C5" s="44"/>
      <c r="D5" s="36"/>
    </row>
    <row r="6" spans="2:42" ht="19" x14ac:dyDescent="0.2">
      <c r="B6" s="43" t="s">
        <v>96</v>
      </c>
      <c r="C6" s="20" t="s">
        <v>23</v>
      </c>
      <c r="D6" s="42"/>
    </row>
    <row r="7" spans="2:42" x14ac:dyDescent="0.2">
      <c r="B7" s="45"/>
      <c r="C7" s="46"/>
      <c r="D7" s="47"/>
    </row>
    <row r="8" spans="2:42" ht="19" x14ac:dyDescent="0.2">
      <c r="B8" s="28" t="s">
        <v>101</v>
      </c>
      <c r="C8" s="30" t="s">
        <v>0</v>
      </c>
      <c r="D8" s="28" t="s">
        <v>17</v>
      </c>
      <c r="AH8" s="3">
        <f>IF(D8="Yes",1,0)</f>
        <v>1</v>
      </c>
      <c r="AL8" s="4" t="s">
        <v>58</v>
      </c>
    </row>
    <row r="9" spans="2:42" ht="38" x14ac:dyDescent="0.2">
      <c r="B9" s="28" t="s">
        <v>102</v>
      </c>
      <c r="C9" s="30" t="s">
        <v>1</v>
      </c>
      <c r="D9" s="28" t="s">
        <v>17</v>
      </c>
      <c r="AH9" s="3">
        <f>IF(D9="Yes",1,0)</f>
        <v>1</v>
      </c>
      <c r="AL9" s="4" t="s">
        <v>59</v>
      </c>
      <c r="AN9" s="3">
        <v>1</v>
      </c>
    </row>
    <row r="10" spans="2:42" ht="19" x14ac:dyDescent="0.2">
      <c r="B10" s="28" t="s">
        <v>103</v>
      </c>
      <c r="C10" s="30" t="s">
        <v>25</v>
      </c>
      <c r="D10" s="30" t="s">
        <v>50</v>
      </c>
      <c r="AH10" s="3">
        <f>IF(D10="Densely Populated",4,IF(D10="Moderately Populated",3,0))</f>
        <v>4</v>
      </c>
      <c r="AL10" s="4" t="s">
        <v>60</v>
      </c>
      <c r="AN10" s="3">
        <v>1</v>
      </c>
    </row>
    <row r="11" spans="2:42" ht="38" x14ac:dyDescent="0.2">
      <c r="B11" s="28" t="s">
        <v>104</v>
      </c>
      <c r="C11" s="30" t="s">
        <v>2</v>
      </c>
      <c r="D11" s="28" t="s">
        <v>17</v>
      </c>
      <c r="AH11" s="3">
        <f>IF(D11="Yes",3,0)</f>
        <v>3</v>
      </c>
      <c r="AL11" s="4" t="s">
        <v>61</v>
      </c>
      <c r="AN11" s="3">
        <v>2</v>
      </c>
    </row>
    <row r="12" spans="2:42" ht="19" x14ac:dyDescent="0.2">
      <c r="B12" s="28" t="s">
        <v>105</v>
      </c>
      <c r="C12" s="30" t="s">
        <v>3</v>
      </c>
      <c r="D12" s="28" t="s">
        <v>17</v>
      </c>
      <c r="AH12" s="3">
        <f>IF(D12="Yes",1,0)</f>
        <v>1</v>
      </c>
      <c r="AL12" s="4" t="s">
        <v>63</v>
      </c>
      <c r="AN12" s="3">
        <v>3</v>
      </c>
    </row>
    <row r="13" spans="2:42" ht="38" x14ac:dyDescent="0.2">
      <c r="B13" s="28" t="s">
        <v>106</v>
      </c>
      <c r="C13" s="30" t="s">
        <v>4</v>
      </c>
      <c r="D13" s="28" t="s">
        <v>17</v>
      </c>
      <c r="AH13" s="3">
        <f>IF(D13="Yes",2,1)</f>
        <v>2</v>
      </c>
      <c r="AL13" s="4" t="s">
        <v>64</v>
      </c>
      <c r="AN13" s="3">
        <f>IF(OR(D36="Simple Split",D36="VRF",D36=""),0,1)</f>
        <v>0</v>
      </c>
      <c r="AP13" s="3"/>
    </row>
    <row r="14" spans="2:42" x14ac:dyDescent="0.2">
      <c r="B14" s="34"/>
      <c r="C14" s="48"/>
      <c r="D14" s="36"/>
      <c r="AH14" s="3"/>
      <c r="AL14" s="4" t="s">
        <v>69</v>
      </c>
      <c r="AN14" s="3">
        <v>3</v>
      </c>
    </row>
    <row r="15" spans="2:42" ht="19" x14ac:dyDescent="0.2">
      <c r="B15" s="43" t="s">
        <v>97</v>
      </c>
      <c r="C15" s="20" t="s">
        <v>24</v>
      </c>
      <c r="D15" s="42"/>
      <c r="AL15" s="4"/>
      <c r="AN15" s="3"/>
    </row>
    <row r="16" spans="2:42" x14ac:dyDescent="0.2">
      <c r="B16" s="45"/>
      <c r="C16" s="46"/>
      <c r="D16" s="47"/>
      <c r="AL16" s="4" t="s">
        <v>70</v>
      </c>
      <c r="AN16" s="3">
        <v>2</v>
      </c>
    </row>
    <row r="17" spans="2:40" ht="19" x14ac:dyDescent="0.2">
      <c r="B17" s="28" t="s">
        <v>107</v>
      </c>
      <c r="C17" s="30" t="s">
        <v>57</v>
      </c>
      <c r="D17" s="28" t="s">
        <v>17</v>
      </c>
      <c r="AH17" s="3">
        <f>IF(D17="Yes",1,0)</f>
        <v>1</v>
      </c>
      <c r="AL17" s="4" t="s">
        <v>139</v>
      </c>
      <c r="AN17" s="3">
        <v>1</v>
      </c>
    </row>
    <row r="18" spans="2:40" ht="38" x14ac:dyDescent="0.2">
      <c r="B18" s="28" t="s">
        <v>111</v>
      </c>
      <c r="C18" s="30" t="s">
        <v>5</v>
      </c>
      <c r="D18" s="30" t="s">
        <v>54</v>
      </c>
      <c r="AH18" s="3">
        <f>IF(D18="Yes - Large Garden",2,IF(D18="Yes - Small Garden",1,0))</f>
        <v>2</v>
      </c>
      <c r="AL18" s="4" t="s">
        <v>68</v>
      </c>
      <c r="AN18" s="3">
        <v>3</v>
      </c>
    </row>
    <row r="19" spans="2:40" ht="19" x14ac:dyDescent="0.2">
      <c r="B19" s="28" t="s">
        <v>112</v>
      </c>
      <c r="C19" s="30" t="s">
        <v>6</v>
      </c>
      <c r="D19" s="28" t="s">
        <v>17</v>
      </c>
      <c r="AH19" s="3">
        <f>IF(D19="Yes",1,0)</f>
        <v>1</v>
      </c>
      <c r="AL19" s="4" t="s">
        <v>62</v>
      </c>
      <c r="AN19" s="3">
        <v>4</v>
      </c>
    </row>
    <row r="20" spans="2:40" ht="19" x14ac:dyDescent="0.2">
      <c r="B20" s="28" t="s">
        <v>113</v>
      </c>
      <c r="C20" s="30" t="s">
        <v>29</v>
      </c>
      <c r="D20" s="28" t="s">
        <v>30</v>
      </c>
      <c r="AH20" s="3">
        <f>IF(AND(D20="RCC Pavings",D21="Yes"),1,0)</f>
        <v>1</v>
      </c>
      <c r="AN20" s="3">
        <f>SUM(AN9:AN19)</f>
        <v>20</v>
      </c>
    </row>
    <row r="21" spans="2:40" ht="19" x14ac:dyDescent="0.2">
      <c r="B21" s="28" t="s">
        <v>114</v>
      </c>
      <c r="C21" s="30" t="s">
        <v>52</v>
      </c>
      <c r="D21" s="28" t="s">
        <v>17</v>
      </c>
    </row>
    <row r="22" spans="2:40" ht="19" x14ac:dyDescent="0.2">
      <c r="B22" s="28" t="s">
        <v>115</v>
      </c>
      <c r="C22" s="30" t="s">
        <v>53</v>
      </c>
      <c r="D22" s="28" t="s">
        <v>17</v>
      </c>
      <c r="AH22" s="3">
        <f>IF(D22="Yes",1,0)</f>
        <v>1</v>
      </c>
      <c r="AL22" s="23" t="s">
        <v>138</v>
      </c>
      <c r="AM22" s="23">
        <v>1</v>
      </c>
      <c r="AN22" s="24">
        <v>1</v>
      </c>
    </row>
    <row r="23" spans="2:40" x14ac:dyDescent="0.2">
      <c r="B23" s="37"/>
      <c r="C23" s="26"/>
      <c r="D23" s="42"/>
      <c r="AH23" s="3"/>
      <c r="AL23" s="23" t="s">
        <v>132</v>
      </c>
      <c r="AM23" s="23">
        <f>AH8+AH9+AH10+AH11+AH12+AH13</f>
        <v>12</v>
      </c>
      <c r="AN23" s="24">
        <v>16</v>
      </c>
    </row>
    <row r="24" spans="2:40" ht="19" x14ac:dyDescent="0.2">
      <c r="B24" s="43" t="s">
        <v>98</v>
      </c>
      <c r="C24" s="20" t="s">
        <v>19</v>
      </c>
      <c r="D24" s="42"/>
      <c r="AL24" s="23" t="s">
        <v>133</v>
      </c>
      <c r="AM24" s="23">
        <f>AH17+AH18+AH19+AH20+AH21+AH22+AN10</f>
        <v>7</v>
      </c>
      <c r="AN24" s="24">
        <v>10</v>
      </c>
    </row>
    <row r="25" spans="2:40" x14ac:dyDescent="0.2">
      <c r="B25" s="37"/>
      <c r="C25" s="25"/>
      <c r="D25" s="42"/>
      <c r="AL25" s="23" t="s">
        <v>134</v>
      </c>
      <c r="AM25" s="23">
        <f>AH26+AH27+AH28+AH29+AN11</f>
        <v>11</v>
      </c>
      <c r="AN25" s="24">
        <v>11</v>
      </c>
    </row>
    <row r="26" spans="2:40" ht="38" x14ac:dyDescent="0.2">
      <c r="B26" s="28" t="s">
        <v>108</v>
      </c>
      <c r="C26" s="30" t="s">
        <v>7</v>
      </c>
      <c r="D26" s="30" t="s">
        <v>32</v>
      </c>
      <c r="AH26" s="3">
        <f>IF(AND(D26="Efficient - Low flow fixtures",D19="Yes"),4,IF(D26="Efficient - Low flow fixtures",3,0))</f>
        <v>4</v>
      </c>
      <c r="AL26" s="23" t="s">
        <v>135</v>
      </c>
      <c r="AM26" s="23">
        <f>AI35+AI36+AI37+AI38+AI39+AH38+AH39+AH40+AN12+AN13</f>
        <v>17</v>
      </c>
      <c r="AN26" s="24">
        <v>31</v>
      </c>
    </row>
    <row r="27" spans="2:40" ht="19" x14ac:dyDescent="0.2">
      <c r="B27" s="28" t="s">
        <v>116</v>
      </c>
      <c r="C27" s="30" t="s">
        <v>8</v>
      </c>
      <c r="D27" s="28" t="s">
        <v>17</v>
      </c>
      <c r="AH27" s="3">
        <f>IF(D27="Yes",2,0)</f>
        <v>2</v>
      </c>
      <c r="AL27" s="23" t="s">
        <v>136</v>
      </c>
      <c r="AM27" s="23">
        <f>AN14+AN16</f>
        <v>5</v>
      </c>
      <c r="AN27" s="24">
        <v>13</v>
      </c>
    </row>
    <row r="28" spans="2:40" ht="19" x14ac:dyDescent="0.2">
      <c r="B28" s="28" t="s">
        <v>117</v>
      </c>
      <c r="C28" s="30" t="s">
        <v>9</v>
      </c>
      <c r="D28" s="28" t="s">
        <v>17</v>
      </c>
      <c r="AH28" s="3">
        <f>IF(D28="Yes",2,0)</f>
        <v>2</v>
      </c>
      <c r="AL28" s="23" t="s">
        <v>137</v>
      </c>
      <c r="AM28" s="23">
        <f>AH44+AH45+AH46+AN17</f>
        <v>5</v>
      </c>
      <c r="AN28" s="24">
        <v>16</v>
      </c>
    </row>
    <row r="29" spans="2:40" ht="19" x14ac:dyDescent="0.2">
      <c r="B29" s="28" t="s">
        <v>118</v>
      </c>
      <c r="C29" s="30" t="s">
        <v>34</v>
      </c>
      <c r="D29" s="28" t="s">
        <v>17</v>
      </c>
      <c r="AH29" s="3">
        <f>IF(D29="Yes",1,0)</f>
        <v>1</v>
      </c>
      <c r="AM29" s="2">
        <f>SUM(AM22:AM28)+AN18+AN19</f>
        <v>65</v>
      </c>
      <c r="AN29" s="2">
        <f>SUM(AN22:AN28)+AN18+AN19</f>
        <v>105</v>
      </c>
    </row>
    <row r="30" spans="2:40" x14ac:dyDescent="0.2">
      <c r="B30" s="37"/>
      <c r="C30" s="26"/>
      <c r="D30" s="42"/>
      <c r="AH30" s="3"/>
    </row>
    <row r="31" spans="2:40" ht="19" x14ac:dyDescent="0.2">
      <c r="B31" s="43" t="s">
        <v>99</v>
      </c>
      <c r="C31" s="20" t="s">
        <v>21</v>
      </c>
      <c r="D31" s="42"/>
    </row>
    <row r="32" spans="2:40" x14ac:dyDescent="0.2">
      <c r="B32" s="37"/>
      <c r="C32" s="25"/>
      <c r="D32" s="42"/>
    </row>
    <row r="33" spans="2:37" ht="19" x14ac:dyDescent="0.2">
      <c r="B33" s="28" t="s">
        <v>109</v>
      </c>
      <c r="C33" s="30" t="s">
        <v>71</v>
      </c>
      <c r="D33" s="28" t="s">
        <v>73</v>
      </c>
    </row>
    <row r="34" spans="2:37" ht="19" x14ac:dyDescent="0.2">
      <c r="B34" s="28" t="s">
        <v>119</v>
      </c>
      <c r="C34" s="30" t="s">
        <v>76</v>
      </c>
      <c r="D34" s="31" t="s">
        <v>87</v>
      </c>
      <c r="AJ34" s="2">
        <f>IF(D33="Office",AM81,IF(D33="Manufacturing",AM82,IF(D33="Hotel",AM83,IF(D33="Apartments",AM84,IF(D33="Warehouse",AM85,0)))))</f>
        <v>4.2</v>
      </c>
      <c r="AK34" s="2" t="s">
        <v>77</v>
      </c>
    </row>
    <row r="35" spans="2:37" ht="19" x14ac:dyDescent="0.2">
      <c r="B35" s="28" t="s">
        <v>120</v>
      </c>
      <c r="C35" s="30" t="s">
        <v>11</v>
      </c>
      <c r="D35" s="28" t="s">
        <v>37</v>
      </c>
      <c r="AI35" s="3">
        <f>IF(AND(D35="&lt;10%",D36="Simple Split"),3,IF(AND(D35="10%&lt; and &lt;50%",D36="Simple Split"),4,0))</f>
        <v>0</v>
      </c>
      <c r="AJ35" s="5">
        <f>IF(D34=AO65,AP65,IF(D34=AO66,AP66,IF(D34=AO67,AP67,IF(D34=AO68,AP68,IF(D34=AO69,AP69)))))</f>
        <v>300000</v>
      </c>
      <c r="AK35" s="2" t="s">
        <v>82</v>
      </c>
    </row>
    <row r="36" spans="2:37" ht="38" x14ac:dyDescent="0.2">
      <c r="B36" s="28" t="s">
        <v>121</v>
      </c>
      <c r="C36" s="30" t="s">
        <v>10</v>
      </c>
      <c r="D36" s="30" t="s">
        <v>41</v>
      </c>
      <c r="AH36" s="3"/>
      <c r="AI36" s="3">
        <f>IF(AND(D35="&lt;10%",D36="VRF"),3,IF(AND(D35="10%&lt; and &lt;50%",D36="VRF"),4,IF(AND(D35="50%&lt; and &lt;80%",D36="VRF"),5,IF(AND(D35="80%&lt;",D36="VRF"),6,0))))</f>
        <v>4</v>
      </c>
      <c r="AJ36" s="6">
        <f>AJ34*AJ35</f>
        <v>1260000</v>
      </c>
      <c r="AK36" s="2" t="s">
        <v>78</v>
      </c>
    </row>
    <row r="37" spans="2:37" ht="38" x14ac:dyDescent="0.2">
      <c r="B37" s="28" t="s">
        <v>122</v>
      </c>
      <c r="C37" s="30" t="s">
        <v>79</v>
      </c>
      <c r="D37" s="30" t="s">
        <v>81</v>
      </c>
      <c r="AH37" s="3"/>
      <c r="AI37" s="3">
        <f>IF(AND(D35="10%&lt; and &lt;50%",D36="Central HVAC"),4,IF(AND(D35="50%&lt; and &lt;80%",D36="Central HVAC"),6,IF(AND(D35="80%&lt;",D36="Central HVAC"),7,0)))</f>
        <v>0</v>
      </c>
    </row>
    <row r="38" spans="2:37" ht="19" x14ac:dyDescent="0.2">
      <c r="B38" s="28" t="s">
        <v>123</v>
      </c>
      <c r="C38" s="30" t="s">
        <v>12</v>
      </c>
      <c r="D38" s="30" t="s">
        <v>46</v>
      </c>
      <c r="AH38" s="3">
        <f>IF(D38="LED",7,IF(D38="T5/T8 Fluorescent",5,3))</f>
        <v>7</v>
      </c>
      <c r="AI38" s="3">
        <f>IF(AND(D35="10%&lt; and &lt;50%",D36="Evaporative Cooling"),5,IF(AND(D35="50%&lt; and &lt;80%",D36="Evaporative Cooling"),6,IF(AND(D35="80%&lt;",D36="Evaporative Cooling"),7,0)))</f>
        <v>0</v>
      </c>
    </row>
    <row r="39" spans="2:37" ht="38" x14ac:dyDescent="0.2">
      <c r="B39" s="28" t="s">
        <v>124</v>
      </c>
      <c r="C39" s="30" t="s">
        <v>13</v>
      </c>
      <c r="D39" s="32" t="s">
        <v>92</v>
      </c>
      <c r="AH39" s="3">
        <f>SUM(AK41:AK47)</f>
        <v>1</v>
      </c>
      <c r="AI39" s="7">
        <f>IF(D37=AL87,AM87,IF(D37=AL88,AM88,0))</f>
        <v>0</v>
      </c>
      <c r="AJ39" s="2">
        <f>IF(D39=AL75,AM75,IF(D39=AL76,AM76,IF(D39=AL77,AM77,IF(D39=AL78,AM78,IF(D39=AL79,AM79)))))</f>
        <v>120</v>
      </c>
    </row>
    <row r="40" spans="2:37" ht="38" x14ac:dyDescent="0.2">
      <c r="B40" s="28" t="s">
        <v>125</v>
      </c>
      <c r="C40" s="30" t="s">
        <v>35</v>
      </c>
      <c r="D40" s="28" t="s">
        <v>17</v>
      </c>
      <c r="AH40" s="3">
        <f>IF(D40="Yes",2,0)</f>
        <v>2</v>
      </c>
      <c r="AJ40" s="2">
        <f>AJ39*4*365</f>
        <v>175200</v>
      </c>
      <c r="AK40" s="2" t="s">
        <v>89</v>
      </c>
    </row>
    <row r="41" spans="2:37" x14ac:dyDescent="0.2">
      <c r="B41" s="37"/>
      <c r="C41" s="26"/>
      <c r="D41" s="42"/>
      <c r="AH41" s="3"/>
      <c r="AJ41" s="5">
        <f>AJ40*100/(AJ36*9)</f>
        <v>1.5449735449735449</v>
      </c>
      <c r="AK41" s="2">
        <f>IF(AJ41&gt;1,1,0)</f>
        <v>1</v>
      </c>
    </row>
    <row r="42" spans="2:37" ht="19" x14ac:dyDescent="0.2">
      <c r="B42" s="43" t="s">
        <v>100</v>
      </c>
      <c r="C42" s="20" t="s">
        <v>22</v>
      </c>
      <c r="D42" s="42"/>
      <c r="AJ42" s="5"/>
    </row>
    <row r="43" spans="2:37" x14ac:dyDescent="0.2">
      <c r="B43" s="37"/>
      <c r="C43" s="25"/>
      <c r="D43" s="42"/>
      <c r="AJ43" s="6"/>
      <c r="AK43" s="2">
        <f>IF(AJ41&gt;3,1,0)</f>
        <v>0</v>
      </c>
    </row>
    <row r="44" spans="2:37" ht="19" x14ac:dyDescent="0.2">
      <c r="B44" s="28" t="s">
        <v>110</v>
      </c>
      <c r="C44" s="30" t="s">
        <v>14</v>
      </c>
      <c r="D44" s="28" t="s">
        <v>17</v>
      </c>
      <c r="AH44" s="3">
        <f>IF(D44="Yes",1,0)</f>
        <v>1</v>
      </c>
      <c r="AJ44" s="6"/>
    </row>
    <row r="45" spans="2:37" ht="38" x14ac:dyDescent="0.2">
      <c r="B45" s="28" t="s">
        <v>126</v>
      </c>
      <c r="C45" s="30" t="s">
        <v>15</v>
      </c>
      <c r="D45" s="28" t="s">
        <v>17</v>
      </c>
      <c r="AH45" s="3">
        <f>IF(D45="Yes",2,0)</f>
        <v>2</v>
      </c>
      <c r="AK45" s="2">
        <f>IF(AJ41&gt;3,1,0)</f>
        <v>0</v>
      </c>
    </row>
    <row r="46" spans="2:37" ht="19" x14ac:dyDescent="0.2">
      <c r="B46" s="28" t="s">
        <v>127</v>
      </c>
      <c r="C46" s="30" t="s">
        <v>16</v>
      </c>
      <c r="D46" s="28" t="s">
        <v>17</v>
      </c>
      <c r="AH46" s="3">
        <f>IF(D46="Yes",1,0)</f>
        <v>1</v>
      </c>
      <c r="AK46" s="2">
        <f>IF(AJ41&gt;6,2,0)</f>
        <v>0</v>
      </c>
    </row>
    <row r="47" spans="2:37" x14ac:dyDescent="0.2">
      <c r="B47" s="37"/>
      <c r="C47" s="21"/>
      <c r="D47" s="42"/>
      <c r="AK47" s="2">
        <f>IF(AJ41&gt;7,2,0)</f>
        <v>0</v>
      </c>
    </row>
    <row r="48" spans="2:37" x14ac:dyDescent="0.2">
      <c r="B48" s="37"/>
      <c r="C48" s="21"/>
      <c r="D48" s="42"/>
      <c r="AH48" s="3">
        <f>SUM(AH8:AH47,AI35:AI39,AN20)</f>
        <v>65</v>
      </c>
    </row>
    <row r="49" spans="2:43" ht="19" x14ac:dyDescent="0.2">
      <c r="B49" s="27"/>
      <c r="C49" s="33" t="s">
        <v>131</v>
      </c>
      <c r="D49" s="29" t="str">
        <f>IF(AH48&lt;40, "Not Eligible",IF(AH48&lt;50,"LEED CERTIFIED",IF(AH48&lt;60,"LEED SILVER",IF(AH48&lt;72,"LEED GOLD","LEED PLATINUM"))))</f>
        <v>LEED GOLD</v>
      </c>
    </row>
    <row r="50" spans="2:43" ht="38" customHeight="1" x14ac:dyDescent="0.2">
      <c r="B50" s="52" t="s">
        <v>130</v>
      </c>
      <c r="C50" s="52"/>
      <c r="D50" s="52"/>
      <c r="AH50" s="10"/>
    </row>
    <row r="51" spans="2:43" ht="15" customHeight="1" x14ac:dyDescent="0.2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I51" s="10"/>
      <c r="AJ51" s="10"/>
      <c r="AK51" s="10"/>
    </row>
    <row r="58" spans="2:43" x14ac:dyDescent="0.2">
      <c r="AL58" s="2" t="s">
        <v>17</v>
      </c>
      <c r="AM58" s="2" t="s">
        <v>50</v>
      </c>
    </row>
    <row r="59" spans="2:43" x14ac:dyDescent="0.2">
      <c r="AL59" s="2" t="s">
        <v>18</v>
      </c>
      <c r="AM59" s="2" t="s">
        <v>51</v>
      </c>
    </row>
    <row r="60" spans="2:43" x14ac:dyDescent="0.2">
      <c r="AM60" s="2" t="s">
        <v>26</v>
      </c>
      <c r="AQ60" s="2" t="s">
        <v>54</v>
      </c>
    </row>
    <row r="61" spans="2:43" x14ac:dyDescent="0.2">
      <c r="AQ61" s="2" t="s">
        <v>55</v>
      </c>
    </row>
    <row r="62" spans="2:43" x14ac:dyDescent="0.2">
      <c r="AL62" s="2" t="s">
        <v>20</v>
      </c>
      <c r="AN62" s="2" t="s">
        <v>30</v>
      </c>
      <c r="AQ62" s="2" t="s">
        <v>56</v>
      </c>
    </row>
    <row r="63" spans="2:43" x14ac:dyDescent="0.2">
      <c r="AL63" s="11" t="s">
        <v>27</v>
      </c>
      <c r="AN63" s="2" t="s">
        <v>31</v>
      </c>
    </row>
    <row r="64" spans="2:43" x14ac:dyDescent="0.2">
      <c r="AL64" s="2" t="s">
        <v>28</v>
      </c>
    </row>
    <row r="65" spans="38:43" x14ac:dyDescent="0.2">
      <c r="AO65" s="2" t="s">
        <v>83</v>
      </c>
      <c r="AP65" s="12">
        <v>50000</v>
      </c>
    </row>
    <row r="66" spans="38:43" x14ac:dyDescent="0.2">
      <c r="AL66" s="2" t="s">
        <v>33</v>
      </c>
      <c r="AO66" s="2" t="s">
        <v>84</v>
      </c>
      <c r="AP66" s="12">
        <v>100000</v>
      </c>
    </row>
    <row r="67" spans="38:43" x14ac:dyDescent="0.2">
      <c r="AL67" s="2" t="s">
        <v>32</v>
      </c>
      <c r="AO67" s="2" t="s">
        <v>85</v>
      </c>
      <c r="AP67" s="12">
        <v>200000</v>
      </c>
    </row>
    <row r="68" spans="38:43" x14ac:dyDescent="0.2">
      <c r="AO68" s="2" t="s">
        <v>87</v>
      </c>
      <c r="AP68" s="12">
        <v>300000</v>
      </c>
    </row>
    <row r="69" spans="38:43" x14ac:dyDescent="0.2">
      <c r="AL69" s="2" t="s">
        <v>36</v>
      </c>
      <c r="AO69" s="2" t="s">
        <v>88</v>
      </c>
      <c r="AP69" s="12">
        <v>500000</v>
      </c>
      <c r="AQ69" s="2" t="s">
        <v>40</v>
      </c>
    </row>
    <row r="70" spans="38:43" x14ac:dyDescent="0.2">
      <c r="AL70" s="2" t="s">
        <v>37</v>
      </c>
      <c r="AQ70" s="2" t="s">
        <v>41</v>
      </c>
    </row>
    <row r="71" spans="38:43" x14ac:dyDescent="0.2">
      <c r="AL71" s="2" t="s">
        <v>38</v>
      </c>
      <c r="AQ71" s="2" t="s">
        <v>42</v>
      </c>
    </row>
    <row r="72" spans="38:43" x14ac:dyDescent="0.2">
      <c r="AL72" s="2" t="s">
        <v>39</v>
      </c>
      <c r="AQ72" s="2" t="s">
        <v>43</v>
      </c>
    </row>
    <row r="74" spans="38:43" x14ac:dyDescent="0.2">
      <c r="AQ74" s="2" t="s">
        <v>44</v>
      </c>
    </row>
    <row r="75" spans="38:43" x14ac:dyDescent="0.2">
      <c r="AL75" s="2" t="s">
        <v>90</v>
      </c>
      <c r="AM75" s="2">
        <v>25</v>
      </c>
      <c r="AQ75" s="2" t="s">
        <v>45</v>
      </c>
    </row>
    <row r="76" spans="38:43" x14ac:dyDescent="0.2">
      <c r="AL76" s="2" t="s">
        <v>47</v>
      </c>
      <c r="AM76" s="2">
        <v>60</v>
      </c>
      <c r="AQ76" s="2" t="s">
        <v>46</v>
      </c>
    </row>
    <row r="77" spans="38:43" x14ac:dyDescent="0.2">
      <c r="AL77" s="2" t="s">
        <v>92</v>
      </c>
      <c r="AM77" s="2">
        <v>120</v>
      </c>
    </row>
    <row r="78" spans="38:43" x14ac:dyDescent="0.2">
      <c r="AL78" s="2" t="s">
        <v>93</v>
      </c>
      <c r="AM78" s="2">
        <v>250</v>
      </c>
      <c r="AQ78" s="2" t="s">
        <v>48</v>
      </c>
    </row>
    <row r="79" spans="38:43" x14ac:dyDescent="0.2">
      <c r="AL79" s="2" t="s">
        <v>91</v>
      </c>
      <c r="AM79" s="2">
        <v>500</v>
      </c>
      <c r="AQ79" s="2" t="s">
        <v>49</v>
      </c>
    </row>
    <row r="81" spans="5:47" x14ac:dyDescent="0.2">
      <c r="AL81" s="2" t="s">
        <v>72</v>
      </c>
      <c r="AM81" s="2">
        <v>1.4</v>
      </c>
    </row>
    <row r="82" spans="5:47" x14ac:dyDescent="0.2">
      <c r="AH82" s="14"/>
      <c r="AL82" s="2" t="s">
        <v>73</v>
      </c>
      <c r="AM82" s="2">
        <v>4.2</v>
      </c>
      <c r="AO82" s="2" t="s">
        <v>65</v>
      </c>
    </row>
    <row r="83" spans="5:47" x14ac:dyDescent="0.2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I83" s="14"/>
      <c r="AL83" s="2" t="s">
        <v>74</v>
      </c>
      <c r="AM83" s="2">
        <v>3.2</v>
      </c>
      <c r="AO83" s="2" t="s">
        <v>66</v>
      </c>
    </row>
    <row r="84" spans="5:47" x14ac:dyDescent="0.2">
      <c r="E84" s="15"/>
      <c r="AL84" s="2" t="s">
        <v>75</v>
      </c>
      <c r="AM84" s="2">
        <v>1.6</v>
      </c>
      <c r="AO84" s="2" t="s">
        <v>67</v>
      </c>
    </row>
    <row r="85" spans="5:47" x14ac:dyDescent="0.2">
      <c r="E85" s="15"/>
      <c r="AL85" s="2" t="s">
        <v>86</v>
      </c>
      <c r="AM85" s="2">
        <v>1.1000000000000001</v>
      </c>
    </row>
    <row r="86" spans="5:47" x14ac:dyDescent="0.2">
      <c r="E86" s="15"/>
    </row>
    <row r="87" spans="5:47" x14ac:dyDescent="0.2">
      <c r="E87" s="15"/>
      <c r="AL87" s="2" t="s">
        <v>48</v>
      </c>
      <c r="AM87" s="2">
        <v>-2</v>
      </c>
      <c r="AU87" s="3" t="s">
        <v>39</v>
      </c>
    </row>
    <row r="88" spans="5:47" x14ac:dyDescent="0.2">
      <c r="AL88" s="2" t="s">
        <v>80</v>
      </c>
      <c r="AM88" s="2">
        <v>-1</v>
      </c>
      <c r="AU88" s="3" t="s">
        <v>43</v>
      </c>
    </row>
    <row r="89" spans="5:47" x14ac:dyDescent="0.2">
      <c r="AL89" s="2" t="s">
        <v>81</v>
      </c>
      <c r="AM89" s="2">
        <v>0</v>
      </c>
    </row>
    <row r="91" spans="5:47" ht="57" x14ac:dyDescent="0.2">
      <c r="AO91" s="16"/>
      <c r="AP91" s="17" t="s">
        <v>36</v>
      </c>
      <c r="AQ91" s="17" t="s">
        <v>37</v>
      </c>
      <c r="AR91" s="17" t="s">
        <v>38</v>
      </c>
      <c r="AS91" s="17" t="s">
        <v>39</v>
      </c>
      <c r="AU91" s="3"/>
    </row>
    <row r="92" spans="5:47" ht="19" x14ac:dyDescent="0.2">
      <c r="AO92" s="17" t="s">
        <v>40</v>
      </c>
      <c r="AP92" s="16">
        <v>1</v>
      </c>
      <c r="AQ92" s="16">
        <v>2</v>
      </c>
      <c r="AR92" s="16"/>
      <c r="AS92" s="16"/>
      <c r="AU92" s="3">
        <f>IF(AND(AU87="&lt;10%",AU88="Simple Split"),1,IF(AND(AU87="10%&lt; and &lt;50%",AU88="Simple Split"),2,0))</f>
        <v>0</v>
      </c>
    </row>
    <row r="93" spans="5:47" ht="19" x14ac:dyDescent="0.2">
      <c r="AO93" s="17" t="s">
        <v>41</v>
      </c>
      <c r="AP93" s="16">
        <v>1</v>
      </c>
      <c r="AQ93" s="16">
        <v>2</v>
      </c>
      <c r="AR93" s="16">
        <v>3</v>
      </c>
      <c r="AS93" s="16">
        <v>4</v>
      </c>
      <c r="AU93" s="3">
        <f>IF(AND(AU87="&lt;10%",AU88="VRF"),1,IF(AND(AU87="10%&lt; and &lt;50%",AU88="VRF"),2,IF(AND(AU87="50%&lt; and &lt;80%",AU88="VRF"),3,IF(AND(AU87="80%&lt;",AU88="VRF"),4,0))))</f>
        <v>0</v>
      </c>
    </row>
    <row r="94" spans="5:47" ht="19" x14ac:dyDescent="0.2">
      <c r="AO94" s="17" t="s">
        <v>42</v>
      </c>
      <c r="AP94" s="16"/>
      <c r="AQ94" s="16"/>
      <c r="AR94" s="16">
        <v>4</v>
      </c>
      <c r="AS94" s="16">
        <v>5</v>
      </c>
      <c r="AU94" s="3">
        <f>IF(AND(AU87="50%&lt; and &lt;80%",AU88="Central HVAC"),4,IF(AND(AU87="80%&lt;",AU88="Central HVAC"),5,0))</f>
        <v>0</v>
      </c>
    </row>
    <row r="95" spans="5:47" ht="38" x14ac:dyDescent="0.2">
      <c r="AO95" s="17" t="s">
        <v>43</v>
      </c>
      <c r="AP95" s="16"/>
      <c r="AQ95" s="16">
        <v>3</v>
      </c>
      <c r="AR95" s="16">
        <v>4</v>
      </c>
      <c r="AS95" s="16">
        <v>5</v>
      </c>
      <c r="AU95" s="3">
        <f>IF(AND(AU87="10%&lt; and &lt;50%",AU88="Evaporative Cooling"),3,IF(AND(AU87="50%&lt; and &lt;80%",AU88="Evaporative Cooling"),4,IF(AND(AU87="80%&lt;",AU88="Evaporative Cooling"),5,0)))</f>
        <v>5</v>
      </c>
    </row>
    <row r="97" spans="41:45" x14ac:dyDescent="0.2">
      <c r="AO97" s="3"/>
      <c r="AQ97" s="3"/>
      <c r="AR97" s="3"/>
      <c r="AS97" s="3"/>
    </row>
    <row r="98" spans="41:45" x14ac:dyDescent="0.2">
      <c r="AO98" s="3"/>
      <c r="AP98" s="3"/>
      <c r="AQ98" s="3"/>
      <c r="AR98" s="3"/>
      <c r="AS98" s="3"/>
    </row>
    <row r="99" spans="41:45" x14ac:dyDescent="0.2">
      <c r="AO99" s="3"/>
      <c r="AP99" s="3"/>
      <c r="AQ99" s="3"/>
      <c r="AR99" s="3"/>
      <c r="AS99" s="3"/>
    </row>
    <row r="100" spans="41:45" x14ac:dyDescent="0.2">
      <c r="AO100" s="3"/>
      <c r="AP100" s="3"/>
      <c r="AQ100" s="3"/>
      <c r="AR100" s="3"/>
      <c r="AS100" s="3"/>
    </row>
    <row r="101" spans="41:45" x14ac:dyDescent="0.2">
      <c r="AO101" s="3"/>
      <c r="AP101" s="3"/>
      <c r="AQ101" s="3"/>
      <c r="AR101" s="3"/>
      <c r="AS101" s="3"/>
    </row>
  </sheetData>
  <sheetProtection algorithmName="SHA-512" hashValue="aVJ8/IVDOCy+svsFF8pINyNYo3W6YvLCwA5gWxIGcrsDYWr5OWLbLtJ9dxuw6qywzfoPHubj21cQK5DntxSPxw==" saltValue="k/lukiZmajDzk8Qdm9aDuA==" spinCount="100000" sheet="1" selectLockedCells="1"/>
  <mergeCells count="2">
    <mergeCell ref="B2:D2"/>
    <mergeCell ref="B50:D50"/>
  </mergeCells>
  <conditionalFormatting sqref="D8">
    <cfRule type="containsText" dxfId="44" priority="53" operator="containsText" text="No">
      <formula>NOT(ISERROR(SEARCH("No",D8)))</formula>
    </cfRule>
    <cfRule type="containsText" dxfId="43" priority="54" operator="containsText" text="Yes">
      <formula>NOT(ISERROR(SEARCH("Yes",D8)))</formula>
    </cfRule>
  </conditionalFormatting>
  <conditionalFormatting sqref="D9">
    <cfRule type="containsText" dxfId="42" priority="51" operator="containsText" text="No">
      <formula>NOT(ISERROR(SEARCH("No",D9)))</formula>
    </cfRule>
    <cfRule type="containsText" dxfId="41" priority="52" operator="containsText" text="Yes">
      <formula>NOT(ISERROR(SEARCH("Yes",D9)))</formula>
    </cfRule>
  </conditionalFormatting>
  <conditionalFormatting sqref="D11">
    <cfRule type="containsText" dxfId="40" priority="49" operator="containsText" text="No">
      <formula>NOT(ISERROR(SEARCH("No",D11)))</formula>
    </cfRule>
    <cfRule type="containsText" dxfId="39" priority="50" operator="containsText" text="Yes">
      <formula>NOT(ISERROR(SEARCH("Yes",D11)))</formula>
    </cfRule>
  </conditionalFormatting>
  <conditionalFormatting sqref="D12">
    <cfRule type="containsText" dxfId="38" priority="47" operator="containsText" text="No">
      <formula>NOT(ISERROR(SEARCH("No",D12)))</formula>
    </cfRule>
    <cfRule type="containsText" dxfId="37" priority="48" operator="containsText" text="Yes">
      <formula>NOT(ISERROR(SEARCH("Yes",D12)))</formula>
    </cfRule>
  </conditionalFormatting>
  <conditionalFormatting sqref="D13:D14">
    <cfRule type="containsText" dxfId="36" priority="45" operator="containsText" text="No">
      <formula>NOT(ISERROR(SEARCH("No",D13)))</formula>
    </cfRule>
    <cfRule type="containsText" dxfId="35" priority="46" operator="containsText" text="Yes">
      <formula>NOT(ISERROR(SEARCH("Yes",D13)))</formula>
    </cfRule>
  </conditionalFormatting>
  <conditionalFormatting sqref="D18">
    <cfRule type="containsText" dxfId="34" priority="43" operator="containsText" text="No">
      <formula>NOT(ISERROR(SEARCH("No",D18)))</formula>
    </cfRule>
    <cfRule type="containsText" dxfId="33" priority="44" operator="containsText" text="Yes">
      <formula>NOT(ISERROR(SEARCH("Yes",D18)))</formula>
    </cfRule>
  </conditionalFormatting>
  <conditionalFormatting sqref="D19">
    <cfRule type="containsText" dxfId="32" priority="41" operator="containsText" text="No">
      <formula>NOT(ISERROR(SEARCH("No",D19)))</formula>
    </cfRule>
    <cfRule type="containsText" dxfId="31" priority="42" operator="containsText" text="Yes">
      <formula>NOT(ISERROR(SEARCH("Yes",D19)))</formula>
    </cfRule>
  </conditionalFormatting>
  <conditionalFormatting sqref="D27">
    <cfRule type="containsText" dxfId="30" priority="39" operator="containsText" text="No">
      <formula>NOT(ISERROR(SEARCH("No",D27)))</formula>
    </cfRule>
    <cfRule type="containsText" dxfId="29" priority="40" operator="containsText" text="Yes">
      <formula>NOT(ISERROR(SEARCH("Yes",D27)))</formula>
    </cfRule>
  </conditionalFormatting>
  <conditionalFormatting sqref="D28">
    <cfRule type="containsText" dxfId="28" priority="37" operator="containsText" text="No">
      <formula>NOT(ISERROR(SEARCH("No",D28)))</formula>
    </cfRule>
    <cfRule type="containsText" dxfId="27" priority="38" operator="containsText" text="Yes">
      <formula>NOT(ISERROR(SEARCH("Yes",D28)))</formula>
    </cfRule>
  </conditionalFormatting>
  <conditionalFormatting sqref="D29:D30">
    <cfRule type="containsText" dxfId="26" priority="35" operator="containsText" text="No">
      <formula>NOT(ISERROR(SEARCH("No",D29)))</formula>
    </cfRule>
    <cfRule type="containsText" dxfId="25" priority="36" operator="containsText" text="Yes">
      <formula>NOT(ISERROR(SEARCH("Yes",D29)))</formula>
    </cfRule>
  </conditionalFormatting>
  <conditionalFormatting sqref="D44">
    <cfRule type="containsText" dxfId="24" priority="31" operator="containsText" text="No">
      <formula>NOT(ISERROR(SEARCH("No",D44)))</formula>
    </cfRule>
    <cfRule type="containsText" dxfId="23" priority="32" operator="containsText" text="Yes">
      <formula>NOT(ISERROR(SEARCH("Yes",D44)))</formula>
    </cfRule>
  </conditionalFormatting>
  <conditionalFormatting sqref="D45">
    <cfRule type="containsText" dxfId="22" priority="29" operator="containsText" text="No">
      <formula>NOT(ISERROR(SEARCH("No",D45)))</formula>
    </cfRule>
    <cfRule type="containsText" dxfId="21" priority="30" operator="containsText" text="Yes">
      <formula>NOT(ISERROR(SEARCH("Yes",D45)))</formula>
    </cfRule>
  </conditionalFormatting>
  <conditionalFormatting sqref="D46">
    <cfRule type="containsText" dxfId="20" priority="27" operator="containsText" text="No">
      <formula>NOT(ISERROR(SEARCH("No",D46)))</formula>
    </cfRule>
    <cfRule type="containsText" dxfId="19" priority="28" operator="containsText" text="Yes">
      <formula>NOT(ISERROR(SEARCH("Yes",D46)))</formula>
    </cfRule>
  </conditionalFormatting>
  <conditionalFormatting sqref="D10">
    <cfRule type="containsText" dxfId="18" priority="24" operator="containsText" text="Rural">
      <formula>NOT(ISERROR(SEARCH("Rural",D10)))</formula>
    </cfRule>
    <cfRule type="containsText" dxfId="17" priority="25" operator="containsText" text="Moderately Populated">
      <formula>NOT(ISERROR(SEARCH("Moderately Populated",D10)))</formula>
    </cfRule>
    <cfRule type="containsText" dxfId="16" priority="26" operator="containsText" text="Densely Populated">
      <formula>NOT(ISERROR(SEARCH("Densely Populated",D10)))</formula>
    </cfRule>
  </conditionalFormatting>
  <conditionalFormatting sqref="D21">
    <cfRule type="containsText" dxfId="15" priority="13" operator="containsText" text="No">
      <formula>NOT(ISERROR(SEARCH("No",D21)))</formula>
    </cfRule>
    <cfRule type="containsText" dxfId="14" priority="14" operator="containsText" text="Yes">
      <formula>NOT(ISERROR(SEARCH("Yes",D21)))</formula>
    </cfRule>
  </conditionalFormatting>
  <conditionalFormatting sqref="D22:D23">
    <cfRule type="containsText" dxfId="13" priority="11" operator="containsText" text="No">
      <formula>NOT(ISERROR(SEARCH("No",D22)))</formula>
    </cfRule>
    <cfRule type="containsText" dxfId="12" priority="12" operator="containsText" text="Yes">
      <formula>NOT(ISERROR(SEARCH("Yes",D22)))</formula>
    </cfRule>
  </conditionalFormatting>
  <conditionalFormatting sqref="D17">
    <cfRule type="containsText" dxfId="11" priority="8" operator="containsText" text="No">
      <formula>NOT(ISERROR(SEARCH("No",D17)))</formula>
    </cfRule>
    <cfRule type="containsText" dxfId="10" priority="9" operator="containsText" text="Yes">
      <formula>NOT(ISERROR(SEARCH("Yes",D17)))</formula>
    </cfRule>
  </conditionalFormatting>
  <conditionalFormatting sqref="D40:D41">
    <cfRule type="containsText" dxfId="9" priority="6" operator="containsText" text="No">
      <formula>NOT(ISERROR(SEARCH("No",D40)))</formula>
    </cfRule>
    <cfRule type="containsText" dxfId="8" priority="7" operator="containsText" text="Yes">
      <formula>NOT(ISERROR(SEARCH("Yes",D40)))</formula>
    </cfRule>
  </conditionalFormatting>
  <dataValidations count="12">
    <dataValidation type="list" errorStyle="warning" allowBlank="1" showInputMessage="1" showErrorMessage="1" errorTitle="Invalid Entry!" sqref="D10" xr:uid="{00000000-0002-0000-0200-000000000000}">
      <formula1>$AM$58:$AM$60</formula1>
    </dataValidation>
    <dataValidation type="list" errorStyle="warning" allowBlank="1" showInputMessage="1" showErrorMessage="1" errorTitle="Invalid Entry!" sqref="D8:D9 D40:D41 D19 D44:D46 D11:D14 D21:D23 D27:D30 D17" xr:uid="{00000000-0002-0000-0200-000001000000}">
      <formula1>$AL$58:$AL$59</formula1>
    </dataValidation>
    <dataValidation type="list" allowBlank="1" showInputMessage="1" showErrorMessage="1" errorTitle="Invalid Entry!" sqref="D20" xr:uid="{00000000-0002-0000-0200-000002000000}">
      <formula1>$AN$62:$AN$63</formula1>
    </dataValidation>
    <dataValidation type="list" allowBlank="1" showInputMessage="1" showErrorMessage="1" errorTitle="Invalid Entry!" sqref="D26" xr:uid="{00000000-0002-0000-0200-000003000000}">
      <formula1>$AL$66:$AL$67</formula1>
    </dataValidation>
    <dataValidation type="list" allowBlank="1" showInputMessage="1" showErrorMessage="1" errorTitle="Invalid Entry!" sqref="D35 AU87" xr:uid="{00000000-0002-0000-0200-000004000000}">
      <formula1>$AL$69:$AL$72</formula1>
    </dataValidation>
    <dataValidation type="list" allowBlank="1" showInputMessage="1" showErrorMessage="1" errorTitle="Invalid Entry!" sqref="AU88 D36" xr:uid="{00000000-0002-0000-0200-000005000000}">
      <formula1>$AQ$69:$AQ$72</formula1>
    </dataValidation>
    <dataValidation type="list" allowBlank="1" showInputMessage="1" showErrorMessage="1" errorTitle="Invalid Entry!" sqref="D38" xr:uid="{00000000-0002-0000-0200-000006000000}">
      <formula1>$AQ$74:$AQ$76</formula1>
    </dataValidation>
    <dataValidation type="list" allowBlank="1" showInputMessage="1" showErrorMessage="1" errorTitle="Invalid Entry!" sqref="D39" xr:uid="{00000000-0002-0000-0200-000007000000}">
      <formula1>$AL$75:$AL$79</formula1>
    </dataValidation>
    <dataValidation type="list" errorStyle="warning" allowBlank="1" showInputMessage="1" showErrorMessage="1" errorTitle="Invalid Entry!" sqref="D18" xr:uid="{00000000-0002-0000-0200-000008000000}">
      <formula1>$AQ$60:$AQ$62</formula1>
    </dataValidation>
    <dataValidation type="list" allowBlank="1" showInputMessage="1" showErrorMessage="1" sqref="D33" xr:uid="{00000000-0002-0000-0200-000009000000}">
      <formula1>$AL$81:$AL$85</formula1>
    </dataValidation>
    <dataValidation type="list" allowBlank="1" showInputMessage="1" showErrorMessage="1" errorTitle="Invalid Entry!" sqref="D37" xr:uid="{00000000-0002-0000-0200-00000A000000}">
      <formula1>$AL$87:$AL$89</formula1>
    </dataValidation>
    <dataValidation type="list" allowBlank="1" showInputMessage="1" showErrorMessage="1" sqref="D34" xr:uid="{00000000-0002-0000-0200-00000B000000}">
      <formula1>$AO$65:$AO$69</formula1>
    </dataValidation>
  </dataValidations>
  <pageMargins left="0.7" right="0.7" top="0.75" bottom="1.8452380952380953" header="0.3" footer="0.3"/>
  <pageSetup orientation="portrait" horizontalDpi="1200" verticalDpi="1200" r:id="rId1"/>
  <headerFooter>
    <oddHeader xml:space="preserve">&amp;R&amp;K02-006www.energysolveinternational.com </oddHeader>
    <oddFooter xml:space="preserve">&amp;LENERGYSOLVE INTERNATIONAL (PVT) LTD
165/55, Sri Saddharmarama Mawatha, Nawala Road,Narahenpita, 
Colombo 5,Sri Lanka.
Tele: (94) 11 4926153/5657790 
Fax: (94) 11 2368942 
info@energysolveinternational.com </oddFooter>
  </headerFooter>
  <ignoredErrors>
    <ignoredError sqref="AH2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C441136D-2D44-4C65-92B9-DBCA339FE290}">
            <xm:f>NOT(ISERROR(SEARCH($AQ$61,D18)))</xm:f>
            <xm:f>$AQ$61</xm:f>
            <x14:dxf>
              <fill>
                <patternFill>
                  <bgColor rgb="FFFFC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9" operator="containsText" id="{88C823C6-416D-4DC7-A0AB-A36C0ED2DDC0}">
            <xm:f>NOT(ISERROR(SEARCH($AN$63,D20)))</xm:f>
            <xm:f>$AN$63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2D13A23A-C3A2-4AFD-9B77-4AE8563C3A25}">
            <xm:f>NOT(ISERROR(SEARCH($AN$62,D20)))</xm:f>
            <xm:f>$AN$62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" operator="containsText" id="{7D920E9C-7EEC-44BD-B270-70627780B95A}">
            <xm:f>NOT(ISERROR(SEARCH($AL$67,D26)))</xm:f>
            <xm:f>$AL$67</xm:f>
            <x14:dxf>
              <fill>
                <patternFill>
                  <bgColor rgb="FF00B050"/>
                </patternFill>
              </fill>
            </x14:dxf>
          </x14:cfRule>
          <x14:cfRule type="containsText" priority="18" operator="containsText" id="{96B88E48-52B7-4C31-B4FE-824264C528B8}">
            <xm:f>NOT(ISERROR(SEARCH($AL$66,D26)))</xm:f>
            <xm:f>$AL$66</xm:f>
            <x14:dxf>
              <fill>
                <patternFill>
                  <bgColor rgb="FFFF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containsText" priority="3" operator="containsText" id="{C4BC792F-F849-4B88-9F12-EF2DF232FAE7}">
            <xm:f>NOT(ISERROR(SEARCH($AQ$76,D38)))</xm:f>
            <xm:f>$AQ$76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operator="containsText" id="{E628FD0A-F7D2-47FB-B9DA-0FB3F4071740}">
            <xm:f>NOT(ISERROR(SEARCH($AQ$75,D38)))</xm:f>
            <xm:f>$AQ$75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44D819CE-0583-4DE7-AAA8-A9439EFCA147}">
            <xm:f>NOT(ISERROR(SEARCH($AQ$74,D38)))</xm:f>
            <xm:f>$AQ$74</xm:f>
            <x14:dxf>
              <fill>
                <patternFill>
                  <bgColor rgb="FFFF0000"/>
                </patternFill>
              </fill>
            </x14:dxf>
          </x14:cfRule>
          <xm:sqref>D38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LEED Information</vt:lpstr>
      <vt:lpstr>New Construction</vt:lpstr>
      <vt:lpstr>LEED_Rating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2020-05-03T07:51:49Z</dcterms:modified>
</cp:coreProperties>
</file>